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ullivanm\Documents\DISTRICT\Negotiated Agreements\2023-2024\"/>
    </mc:Choice>
  </mc:AlternateContent>
  <bookViews>
    <workbookView xWindow="28680" yWindow="-120" windowWidth="29040" windowHeight="15840"/>
  </bookViews>
  <sheets>
    <sheet name="District Development &amp; Resource" sheetId="1" r:id="rId1"/>
    <sheet name="District Staff" sheetId="2" r:id="rId2"/>
  </sheets>
  <definedNames>
    <definedName name="_xlnm.Print_Area" localSheetId="0">'District Development &amp; Resource'!$A$1:$D$42</definedName>
    <definedName name="_xlnm.Print_Area" localSheetId="1">'District Staff'!$A$1:$F$16</definedName>
  </definedNames>
  <calcPr calcId="162913"/>
</workbook>
</file>

<file path=xl/calcChain.xml><?xml version="1.0" encoding="utf-8"?>
<calcChain xmlns="http://schemas.openxmlformats.org/spreadsheetml/2006/main">
  <c r="B19" i="1" l="1"/>
  <c r="B28" i="1"/>
  <c r="B11" i="1" l="1"/>
  <c r="B10" i="1"/>
  <c r="I30" i="2" l="1"/>
  <c r="I29" i="2"/>
  <c r="E52" i="2"/>
  <c r="E51" i="2"/>
  <c r="E50" i="2"/>
  <c r="E49" i="2"/>
  <c r="E48" i="2"/>
  <c r="E47" i="2"/>
  <c r="E43" i="2"/>
  <c r="E42" i="2"/>
  <c r="E41" i="2"/>
  <c r="E40" i="2"/>
  <c r="E39" i="2"/>
  <c r="E38" i="2"/>
  <c r="E34" i="2"/>
  <c r="E33" i="2"/>
  <c r="E32" i="2"/>
  <c r="E31" i="2"/>
  <c r="E30" i="2"/>
  <c r="E29" i="2"/>
  <c r="C50" i="2"/>
  <c r="C49" i="2"/>
  <c r="C48" i="2"/>
  <c r="C47" i="2"/>
  <c r="C41" i="2"/>
  <c r="C40" i="2"/>
  <c r="C39" i="2"/>
  <c r="C38" i="2"/>
  <c r="C32" i="2"/>
  <c r="C31" i="2"/>
  <c r="C30" i="2"/>
  <c r="C29" i="2"/>
  <c r="D30" i="2" l="1"/>
  <c r="D39" i="2"/>
  <c r="D31" i="2"/>
  <c r="D40" i="2"/>
  <c r="D33" i="2"/>
  <c r="D42" i="2"/>
  <c r="D34" i="2"/>
  <c r="D43" i="2"/>
  <c r="D48" i="2"/>
  <c r="D49" i="2"/>
  <c r="D51" i="2"/>
  <c r="D52" i="2"/>
  <c r="F52" i="2" s="1"/>
  <c r="J14" i="2"/>
  <c r="B10" i="2"/>
  <c r="B11" i="2"/>
  <c r="B13" i="2"/>
  <c r="B14" i="2"/>
  <c r="I10" i="2"/>
  <c r="I11" i="2"/>
  <c r="I13" i="2"/>
  <c r="I14" i="2"/>
  <c r="K14" i="2" s="1"/>
  <c r="B9" i="2"/>
  <c r="B12" i="2"/>
  <c r="I9" i="2"/>
  <c r="I12" i="2"/>
  <c r="B23" i="1"/>
  <c r="C23" i="1" s="1"/>
  <c r="B40" i="1"/>
  <c r="C40" i="1" s="1"/>
  <c r="B12" i="1"/>
  <c r="C12" i="1" s="1"/>
  <c r="B31" i="1"/>
  <c r="C31" i="1" s="1"/>
  <c r="D23" i="1"/>
  <c r="D31" i="1"/>
  <c r="D12" i="1"/>
  <c r="D40" i="1"/>
  <c r="D29" i="2"/>
  <c r="D38" i="2"/>
  <c r="D32" i="2"/>
  <c r="D41" i="2"/>
  <c r="D47" i="2"/>
  <c r="D50" i="2"/>
  <c r="C22" i="1"/>
  <c r="J7" i="2"/>
  <c r="K7" i="2"/>
  <c r="M7" i="2"/>
  <c r="C8" i="1"/>
  <c r="C7" i="2"/>
  <c r="D7" i="2" s="1"/>
  <c r="F7" i="2" s="1"/>
  <c r="C39" i="1"/>
  <c r="C38" i="1"/>
  <c r="C37" i="1"/>
  <c r="C36" i="1"/>
  <c r="C35" i="1"/>
  <c r="C34" i="1"/>
  <c r="C29" i="1"/>
  <c r="C28" i="1"/>
  <c r="C27" i="1"/>
  <c r="C26" i="1"/>
  <c r="C21" i="1"/>
  <c r="C20" i="1"/>
  <c r="C19" i="1"/>
  <c r="C18" i="1"/>
  <c r="C17" i="1"/>
  <c r="C16" i="1"/>
  <c r="C15" i="1"/>
  <c r="C11" i="1"/>
  <c r="C10" i="1"/>
  <c r="C9" i="1"/>
  <c r="C5" i="1"/>
  <c r="D42" i="1" l="1"/>
  <c r="B42" i="1"/>
  <c r="C42" i="1" s="1"/>
  <c r="F34" i="2"/>
  <c r="J10" i="2"/>
  <c r="K10" i="2" s="1"/>
  <c r="F31" i="2"/>
  <c r="E11" i="2" s="1"/>
  <c r="F41" i="2"/>
  <c r="L12" i="2" s="1"/>
  <c r="J13" i="2"/>
  <c r="K13" i="2" s="1"/>
  <c r="F38" i="2"/>
  <c r="L9" i="2" s="1"/>
  <c r="C13" i="2"/>
  <c r="D13" i="2" s="1"/>
  <c r="C10" i="2"/>
  <c r="D10" i="2" s="1"/>
  <c r="C12" i="2"/>
  <c r="D12" i="2" s="1"/>
  <c r="F48" i="2"/>
  <c r="F40" i="2"/>
  <c r="L11" i="2" s="1"/>
  <c r="F30" i="2"/>
  <c r="F51" i="2"/>
  <c r="G51" i="2" s="1"/>
  <c r="B16" i="2"/>
  <c r="F33" i="2"/>
  <c r="G33" i="2" s="1"/>
  <c r="J9" i="2"/>
  <c r="K9" i="2" s="1"/>
  <c r="F43" i="2"/>
  <c r="L14" i="2" s="1"/>
  <c r="M14" i="2" s="1"/>
  <c r="J12" i="2"/>
  <c r="K12" i="2" s="1"/>
  <c r="F32" i="2"/>
  <c r="F42" i="2"/>
  <c r="E13" i="2" s="1"/>
  <c r="F39" i="2"/>
  <c r="L10" i="2" s="1"/>
  <c r="C9" i="2"/>
  <c r="D9" i="2" s="1"/>
  <c r="C14" i="2"/>
  <c r="D14" i="2" s="1"/>
  <c r="J11" i="2"/>
  <c r="K11" i="2" s="1"/>
  <c r="F47" i="2"/>
  <c r="I16" i="2"/>
  <c r="I27" i="2"/>
  <c r="F29" i="2"/>
  <c r="C11" i="2"/>
  <c r="F50" i="2"/>
  <c r="F49" i="2"/>
  <c r="F42" i="1" l="1"/>
  <c r="M10" i="2"/>
  <c r="E12" i="2"/>
  <c r="F12" i="2" s="1"/>
  <c r="M12" i="2"/>
  <c r="E14" i="2"/>
  <c r="F14" i="2" s="1"/>
  <c r="J16" i="2"/>
  <c r="I28" i="2"/>
  <c r="I32" i="2" s="1"/>
  <c r="M11" i="2"/>
  <c r="F13" i="2"/>
  <c r="E9" i="2"/>
  <c r="E10" i="2"/>
  <c r="F10" i="2" s="1"/>
  <c r="G42" i="2"/>
  <c r="L13" i="2"/>
  <c r="M13" i="2" s="1"/>
  <c r="D11" i="2"/>
  <c r="F11" i="2" s="1"/>
  <c r="F9" i="2"/>
  <c r="C16" i="2"/>
  <c r="K16" i="2"/>
  <c r="M9" i="2"/>
  <c r="D16" i="2" l="1"/>
</calcChain>
</file>

<file path=xl/sharedStrings.xml><?xml version="1.0" encoding="utf-8"?>
<sst xmlns="http://schemas.openxmlformats.org/spreadsheetml/2006/main" count="144" uniqueCount="91">
  <si>
    <t>% District Aid Budgeted</t>
  </si>
  <si>
    <t xml:space="preserve">Budget Narrative: </t>
  </si>
  <si>
    <r>
      <t>Administrative Fee</t>
    </r>
    <r>
      <rPr>
        <sz val="10"/>
        <rFont val="Arial"/>
        <family val="2"/>
      </rPr>
      <t xml:space="preserve">   (up to 5% of total appropriation)</t>
    </r>
  </si>
  <si>
    <t>(NOTE: The Budget Narrative is the justification of ‘how’ and/or ‘why’ a line item helps to meet the program deliverables)</t>
  </si>
  <si>
    <t xml:space="preserve">Salaries/Wages/Benefits  </t>
  </si>
  <si>
    <t>Staff costs breakout on the next sheet is required by OCL</t>
  </si>
  <si>
    <t>District Development Salaries and Wages</t>
  </si>
  <si>
    <t>District Development Benefits</t>
  </si>
  <si>
    <t>District Resources Salaries and Wages</t>
  </si>
  <si>
    <t>District Resources Benefits</t>
  </si>
  <si>
    <t>Subtotal</t>
  </si>
  <si>
    <t>How will district funds aid in development of Member Libraries through expenditures in these categories?</t>
  </si>
  <si>
    <t>District Development</t>
  </si>
  <si>
    <t>Travel</t>
  </si>
  <si>
    <t>Technology Support/Training</t>
  </si>
  <si>
    <t>Continuing Ed./Prof. Development</t>
  </si>
  <si>
    <t>Programming/Outreach Services</t>
  </si>
  <si>
    <t>Marketing/PR</t>
  </si>
  <si>
    <t>Dues &amp; Memberships for District Consultants</t>
  </si>
  <si>
    <t>Office Expense for District Development</t>
  </si>
  <si>
    <t>How will district funds aid in equitable service to residents of the service area through expenditures in these categories?</t>
  </si>
  <si>
    <t>District Resources</t>
  </si>
  <si>
    <t>Collection Development</t>
  </si>
  <si>
    <t>Collection Processing Costs</t>
  </si>
  <si>
    <t>Electronic Resources/Databases/Online Services</t>
  </si>
  <si>
    <t xml:space="preserve">Reference Materials for District Use  </t>
  </si>
  <si>
    <t>Other Resource Expense (please list)</t>
  </si>
  <si>
    <t>Interlibrary Loan Costs</t>
  </si>
  <si>
    <t>IDS</t>
  </si>
  <si>
    <t>Delivery within District/other delivery methods</t>
  </si>
  <si>
    <t>Shipping Supplies (labels/containers/etc.)</t>
  </si>
  <si>
    <t>OCLC</t>
  </si>
  <si>
    <t>AccessPennsylvania Fees</t>
  </si>
  <si>
    <t>Other Office Expense for District Resources</t>
  </si>
  <si>
    <t>Grand Total</t>
  </si>
  <si>
    <t>Total District Aid</t>
  </si>
  <si>
    <t xml:space="preserve">District Name:  </t>
  </si>
  <si>
    <t>District Staff Detail Sheet (for District Center and OCL Use Only)</t>
  </si>
  <si>
    <t>List all staff positions paid from district aid.</t>
  </si>
  <si>
    <t>Staff Position</t>
  </si>
  <si>
    <t>Salary/Wages from District Funds</t>
  </si>
  <si>
    <t>Benefits from District Funds</t>
  </si>
  <si>
    <t>Total Compensation from District Funds</t>
  </si>
  <si>
    <t>Total Compensation from all sources (required)</t>
  </si>
  <si>
    <t xml:space="preserve">% of Total Salary paid by District Funds </t>
  </si>
  <si>
    <t>District Administrator</t>
  </si>
  <si>
    <t>EXAMPLE</t>
  </si>
  <si>
    <t>District Consultant</t>
  </si>
  <si>
    <t>Total</t>
  </si>
  <si>
    <t>NOTE: When planning and evaluating District Services, the percentage of total salaries applied to District funds should reflect the amount of time and effort staff contribute to outcomes listed in the Negotiated Agreement</t>
  </si>
  <si>
    <t>Medical</t>
  </si>
  <si>
    <t>Pension</t>
  </si>
  <si>
    <t xml:space="preserve"> </t>
  </si>
  <si>
    <t>Delivery Driver #1</t>
  </si>
  <si>
    <t>Delivery Driver #2</t>
  </si>
  <si>
    <t>Salary</t>
  </si>
  <si>
    <t>FICA (SS+Medicare)</t>
  </si>
  <si>
    <t>Sullivan</t>
  </si>
  <si>
    <t>Horwath</t>
  </si>
  <si>
    <t>Holderith</t>
  </si>
  <si>
    <t>Driver #1 (Russ)</t>
  </si>
  <si>
    <t>Allentown</t>
  </si>
  <si>
    <t>Interlibrary Loan  - Horwath</t>
  </si>
  <si>
    <t>Interlibrary Loan - Holderith</t>
  </si>
  <si>
    <t>District Development wages</t>
  </si>
  <si>
    <t>District Development benefits</t>
  </si>
  <si>
    <t>District Resources wages</t>
  </si>
  <si>
    <t>Medical rate changes 11/1 each year</t>
  </si>
  <si>
    <t>PSERS rate changes 7/1 each year</t>
  </si>
  <si>
    <t>FICA rate changes 1/1 each year</t>
  </si>
  <si>
    <t>Hourly rates change 1/1 each year, if applicable</t>
  </si>
  <si>
    <t>6 day/wk delivery to all member libraries ; IDS and OCLC subscriptions to aid in the processing and shipping of ILLs ; covering Access PA fees frees up money for member libraries</t>
  </si>
  <si>
    <t>Total hourly rate</t>
  </si>
  <si>
    <t>District Resources benefits</t>
  </si>
  <si>
    <t>Youth Services</t>
  </si>
  <si>
    <t>Children's Dept Head</t>
  </si>
  <si>
    <t>Driver #2</t>
  </si>
  <si>
    <t>Driver #1</t>
  </si>
  <si>
    <t>Other development expense</t>
  </si>
  <si>
    <t>2023-24 District Negotiated Agreement for:</t>
  </si>
  <si>
    <t>District Negotiated Agreement Fiscal Year: 2023-2024</t>
  </si>
  <si>
    <t>District Funds Expended in 2022-23</t>
  </si>
  <si>
    <t>23-24 Budgeted</t>
  </si>
  <si>
    <t>District Negotiated Agreement Fiscal Year: Jul 1, 2023-Dec 31, 2023</t>
  </si>
  <si>
    <t>District Negotiated Agreement Fiscal Year: Jan 1, 2024-Jun 30, 2024</t>
  </si>
  <si>
    <t>Driver #2 (Dave)</t>
  </si>
  <si>
    <t>Jul-Oct 2023</t>
  </si>
  <si>
    <t>Nov-Dec 2023</t>
  </si>
  <si>
    <t>Jan-Jun 2024</t>
  </si>
  <si>
    <t>The District is able to leverage District funds to get consortium pricing on many databases and online services that the individual libraries would not be able to offer on their own ($92,560) ; museum passes for all member libraries ($6435) ; hotspot service plans for all member libraries ($6600) ; Funds for shared Overdrive e-materials ($19,000) ; Funds for District professional collection items ($500)</t>
  </si>
  <si>
    <t>District-wide technical support and database management from a staff member at a member library ($3,600) ; dedicated funds for coordinated District wide marketing/PR initiatives, including email marketing subscriptions ($7,556), materials cost ($7,349) &amp; support from a staff member at a member library ($3,600) ; District-wide CE opportunities ($1,000) ; Software subscriptions to assist with online participation in Summer Reading and other programs ($4,624).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</si>
</sst>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quot;$&quot;#,##0.00"/>
    <numFmt numFmtId="165" formatCode="&quot;$&quot;#,##0"/>
    <numFmt numFmtId="166" formatCode="_(* #,##0_);_(* \(#,##0\);_(* &quot;-&quot;??_);_(@_)"/>
  </numFmts>
  <fonts count="16" x14ac:knownFonts="1">
    <font>
      <sz val="11"/>
      <color theme="1"/>
      <name val="Calibri"/>
      <family val="2"/>
      <scheme val="minor"/>
    </font>
    <font>
      <b/>
      <sz val="11"/>
      <color indexed="8"/>
      <name val="Calibri"/>
      <family val="2"/>
    </font>
    <font>
      <b/>
      <sz val="12"/>
      <name val="Arial"/>
      <family val="2"/>
    </font>
    <font>
      <b/>
      <sz val="10"/>
      <name val="Arial"/>
      <family val="2"/>
    </font>
    <font>
      <b/>
      <i/>
      <sz val="10"/>
      <name val="Arial"/>
      <family val="2"/>
    </font>
    <font>
      <sz val="10"/>
      <name val="Arial"/>
      <family val="2"/>
    </font>
    <font>
      <i/>
      <sz val="10"/>
      <name val="Arial"/>
      <family val="2"/>
    </font>
    <font>
      <i/>
      <sz val="10"/>
      <color indexed="10"/>
      <name val="Arial"/>
      <family val="2"/>
    </font>
    <font>
      <i/>
      <sz val="12"/>
      <color indexed="10"/>
      <name val="Calibri"/>
      <family val="2"/>
      <charset val="1"/>
    </font>
    <font>
      <b/>
      <sz val="12"/>
      <color indexed="10"/>
      <name val="Arial"/>
      <family val="2"/>
    </font>
    <font>
      <b/>
      <sz val="10"/>
      <color indexed="8"/>
      <name val="Arial"/>
      <family val="2"/>
    </font>
    <font>
      <b/>
      <i/>
      <sz val="11"/>
      <color indexed="8"/>
      <name val="Calibri"/>
      <family val="2"/>
    </font>
    <font>
      <sz val="10"/>
      <color indexed="8"/>
      <name val="Arial"/>
    </font>
    <font>
      <sz val="10"/>
      <color indexed="8"/>
      <name val="Calibri"/>
    </font>
    <font>
      <sz val="8"/>
      <name val="Calibri"/>
      <family val="2"/>
    </font>
    <font>
      <sz val="11"/>
      <color theme="1"/>
      <name val="Calibri"/>
      <family val="2"/>
      <scheme val="minor"/>
    </font>
  </fonts>
  <fills count="6">
    <fill>
      <patternFill patternType="none"/>
    </fill>
    <fill>
      <patternFill patternType="gray125"/>
    </fill>
    <fill>
      <patternFill patternType="solid">
        <fgColor indexed="55"/>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s>
  <borders count="6">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xf numFmtId="0" fontId="12" fillId="0" borderId="0"/>
    <xf numFmtId="43" fontId="15" fillId="0" borderId="0" applyFont="0" applyFill="0" applyBorder="0" applyAlignment="0" applyProtection="0"/>
  </cellStyleXfs>
  <cellXfs count="87">
    <xf numFmtId="0" fontId="0" fillId="0" borderId="0" xfId="0"/>
    <xf numFmtId="3" fontId="3" fillId="0" borderId="0" xfId="0" applyNumberFormat="1" applyFont="1" applyProtection="1"/>
    <xf numFmtId="0" fontId="3" fillId="0" borderId="0" xfId="0" applyFont="1" applyProtection="1"/>
    <xf numFmtId="0" fontId="3" fillId="0" borderId="0" xfId="0" applyFont="1" applyProtection="1">
      <protection locked="0"/>
    </xf>
    <xf numFmtId="3" fontId="4" fillId="0" borderId="0" xfId="0" applyNumberFormat="1" applyFont="1" applyProtection="1"/>
    <xf numFmtId="0" fontId="3" fillId="0" borderId="0" xfId="0" applyFont="1" applyAlignment="1" applyProtection="1">
      <alignment wrapText="1"/>
    </xf>
    <xf numFmtId="3" fontId="3" fillId="0" borderId="0" xfId="0" applyNumberFormat="1" applyFont="1" applyProtection="1">
      <protection locked="0"/>
    </xf>
    <xf numFmtId="10" fontId="5" fillId="0" borderId="0" xfId="0" applyNumberFormat="1" applyFont="1" applyProtection="1"/>
    <xf numFmtId="3" fontId="3" fillId="2" borderId="0" xfId="0" applyNumberFormat="1" applyFont="1" applyFill="1" applyProtection="1"/>
    <xf numFmtId="10" fontId="3" fillId="2" borderId="0" xfId="0" applyNumberFormat="1" applyFont="1" applyFill="1" applyProtection="1"/>
    <xf numFmtId="3" fontId="5" fillId="2" borderId="0" xfId="0" applyNumberFormat="1" applyFont="1" applyFill="1" applyAlignment="1" applyProtection="1">
      <alignment wrapText="1"/>
    </xf>
    <xf numFmtId="10" fontId="3" fillId="2" borderId="0" xfId="0" applyNumberFormat="1" applyFont="1" applyFill="1" applyAlignment="1" applyProtection="1">
      <alignment wrapText="1"/>
    </xf>
    <xf numFmtId="0" fontId="3" fillId="0" borderId="0" xfId="0" applyFont="1" applyAlignment="1" applyProtection="1">
      <alignment wrapText="1"/>
      <protection locked="0"/>
    </xf>
    <xf numFmtId="0" fontId="5" fillId="0" borderId="0" xfId="0" applyFont="1" applyAlignment="1" applyProtection="1">
      <alignment wrapText="1"/>
    </xf>
    <xf numFmtId="3" fontId="5" fillId="0" borderId="0" xfId="0" applyNumberFormat="1" applyFont="1" applyProtection="1">
      <protection locked="0"/>
    </xf>
    <xf numFmtId="0" fontId="5" fillId="0" borderId="0" xfId="0" applyFont="1" applyProtection="1">
      <protection locked="0"/>
    </xf>
    <xf numFmtId="10" fontId="5" fillId="0" borderId="0" xfId="0" applyNumberFormat="1" applyFont="1" applyFill="1" applyProtection="1"/>
    <xf numFmtId="0" fontId="5" fillId="0" borderId="0" xfId="0" applyFont="1" applyFill="1" applyAlignment="1" applyProtection="1">
      <alignment wrapText="1"/>
    </xf>
    <xf numFmtId="3" fontId="5" fillId="2" borderId="0" xfId="0" applyNumberFormat="1" applyFont="1" applyFill="1" applyProtection="1"/>
    <xf numFmtId="3" fontId="6" fillId="2" borderId="0" xfId="0" applyNumberFormat="1" applyFont="1" applyFill="1" applyProtection="1"/>
    <xf numFmtId="10" fontId="6" fillId="2" borderId="0" xfId="0" applyNumberFormat="1" applyFont="1" applyFill="1" applyProtection="1"/>
    <xf numFmtId="0" fontId="6" fillId="0" borderId="0" xfId="0" applyFont="1" applyProtection="1">
      <protection locked="0"/>
    </xf>
    <xf numFmtId="0" fontId="5" fillId="0" borderId="0" xfId="0" applyFont="1" applyProtection="1"/>
    <xf numFmtId="164" fontId="5" fillId="0" borderId="0" xfId="0" applyNumberFormat="1" applyFont="1" applyProtection="1">
      <protection locked="0"/>
    </xf>
    <xf numFmtId="164" fontId="3" fillId="0" borderId="0" xfId="0" applyNumberFormat="1" applyFont="1" applyProtection="1">
      <protection locked="0"/>
    </xf>
    <xf numFmtId="164" fontId="5" fillId="2" borderId="0" xfId="0" applyNumberFormat="1" applyFont="1" applyFill="1" applyProtection="1"/>
    <xf numFmtId="10" fontId="5" fillId="2" borderId="0" xfId="0" applyNumberFormat="1" applyFont="1" applyFill="1" applyProtection="1"/>
    <xf numFmtId="3" fontId="5" fillId="0" borderId="0" xfId="0" applyNumberFormat="1" applyFont="1" applyFill="1" applyProtection="1"/>
    <xf numFmtId="3" fontId="5" fillId="0" borderId="0" xfId="0" applyNumberFormat="1" applyFont="1" applyProtection="1"/>
    <xf numFmtId="165" fontId="0" fillId="0" borderId="0" xfId="0" applyNumberFormat="1"/>
    <xf numFmtId="2" fontId="0" fillId="0" borderId="0" xfId="0" applyNumberFormat="1"/>
    <xf numFmtId="0" fontId="2" fillId="0" borderId="0" xfId="0" applyFont="1"/>
    <xf numFmtId="165" fontId="2" fillId="0" borderId="0" xfId="0" applyNumberFormat="1" applyFont="1"/>
    <xf numFmtId="2" fontId="2" fillId="0" borderId="0" xfId="0" applyNumberFormat="1" applyFont="1"/>
    <xf numFmtId="0" fontId="5" fillId="0" borderId="0" xfId="0" applyFont="1"/>
    <xf numFmtId="0" fontId="2" fillId="0" borderId="0" xfId="0" applyFont="1" applyFill="1" applyProtection="1">
      <protection locked="0"/>
    </xf>
    <xf numFmtId="0" fontId="2" fillId="0" borderId="0" xfId="0" applyFont="1" applyFill="1"/>
    <xf numFmtId="165" fontId="0" fillId="0" borderId="0" xfId="0" applyNumberFormat="1" applyFill="1"/>
    <xf numFmtId="0" fontId="3" fillId="0" borderId="0" xfId="0" applyFont="1" applyAlignment="1" applyProtection="1">
      <alignment horizontal="center" vertical="top" wrapText="1"/>
      <protection locked="0"/>
    </xf>
    <xf numFmtId="0" fontId="0" fillId="0" borderId="1" xfId="0" applyFill="1" applyBorder="1"/>
    <xf numFmtId="2" fontId="0" fillId="0" borderId="2" xfId="0" applyNumberFormat="1" applyFill="1" applyBorder="1"/>
    <xf numFmtId="10" fontId="3" fillId="0" borderId="0" xfId="0" applyNumberFormat="1" applyFont="1" applyFill="1" applyProtection="1"/>
    <xf numFmtId="0" fontId="3" fillId="0" borderId="0" xfId="0" applyFont="1" applyAlignment="1">
      <alignment horizontal="center" vertical="center"/>
    </xf>
    <xf numFmtId="165" fontId="3" fillId="0" borderId="0" xfId="0" applyNumberFormat="1" applyFont="1" applyAlignment="1">
      <alignment horizontal="center" vertical="center" wrapText="1"/>
    </xf>
    <xf numFmtId="2" fontId="3" fillId="3" borderId="3" xfId="0" applyNumberFormat="1" applyFont="1" applyFill="1" applyBorder="1" applyAlignment="1">
      <alignment horizontal="center" vertical="center" wrapText="1"/>
    </xf>
    <xf numFmtId="0" fontId="1" fillId="0" borderId="0" xfId="0" applyFont="1"/>
    <xf numFmtId="165" fontId="1" fillId="0" borderId="0" xfId="0" applyNumberFormat="1" applyFont="1"/>
    <xf numFmtId="0" fontId="8" fillId="0" borderId="0" xfId="0" applyFont="1" applyAlignment="1">
      <alignment wrapText="1"/>
    </xf>
    <xf numFmtId="0" fontId="9" fillId="0" borderId="0" xfId="0" applyFont="1"/>
    <xf numFmtId="165" fontId="10" fillId="3" borderId="0" xfId="0" applyNumberFormat="1" applyFont="1" applyFill="1" applyAlignment="1">
      <alignment horizontal="center" vertical="center" wrapText="1"/>
    </xf>
    <xf numFmtId="0" fontId="11" fillId="4" borderId="0" xfId="0" applyFont="1" applyFill="1"/>
    <xf numFmtId="165" fontId="11" fillId="4" borderId="0" xfId="0" applyNumberFormat="1" applyFont="1" applyFill="1"/>
    <xf numFmtId="1" fontId="11" fillId="4" borderId="1" xfId="0" applyNumberFormat="1" applyFont="1" applyFill="1" applyBorder="1"/>
    <xf numFmtId="0" fontId="1" fillId="0" borderId="0" xfId="0" applyFont="1" applyAlignment="1">
      <alignment horizontal="center" wrapText="1"/>
    </xf>
    <xf numFmtId="0" fontId="3" fillId="5" borderId="0" xfId="0" applyFont="1" applyFill="1" applyProtection="1">
      <protection locked="0"/>
    </xf>
    <xf numFmtId="3" fontId="3" fillId="5" borderId="0" xfId="0" applyNumberFormat="1" applyFont="1" applyFill="1" applyProtection="1"/>
    <xf numFmtId="0" fontId="3" fillId="5" borderId="0" xfId="0" applyFont="1" applyFill="1" applyProtection="1"/>
    <xf numFmtId="0" fontId="3" fillId="0" borderId="0" xfId="0" applyFont="1" applyAlignment="1" applyProtection="1">
      <alignment horizontal="center" vertical="center" wrapText="1"/>
      <protection locked="0"/>
    </xf>
    <xf numFmtId="3" fontId="7" fillId="0" borderId="0" xfId="0" applyNumberFormat="1" applyFont="1" applyAlignment="1" applyProtection="1">
      <alignment horizontal="left" vertical="center"/>
      <protection locked="0"/>
    </xf>
    <xf numFmtId="3" fontId="4" fillId="0" borderId="0" xfId="0" applyNumberFormat="1" applyFont="1" applyAlignment="1" applyProtection="1">
      <alignment horizontal="center"/>
    </xf>
    <xf numFmtId="0" fontId="3" fillId="0" borderId="0" xfId="0" applyFont="1" applyAlignment="1" applyProtection="1">
      <alignment horizontal="center" wrapText="1"/>
    </xf>
    <xf numFmtId="0" fontId="4" fillId="0" borderId="0" xfId="0" applyFont="1" applyAlignment="1" applyProtection="1">
      <alignment horizontal="center" wrapText="1"/>
    </xf>
    <xf numFmtId="165" fontId="12" fillId="0" borderId="0" xfId="1" applyNumberFormat="1" applyFont="1"/>
    <xf numFmtId="2" fontId="12" fillId="0" borderId="0" xfId="1" applyNumberFormat="1" applyFont="1"/>
    <xf numFmtId="0" fontId="12" fillId="0" borderId="0" xfId="1" applyFont="1" applyAlignment="1"/>
    <xf numFmtId="0" fontId="13" fillId="0" borderId="0" xfId="1" applyFont="1"/>
    <xf numFmtId="164" fontId="12" fillId="0" borderId="0" xfId="1" applyNumberFormat="1" applyFont="1"/>
    <xf numFmtId="4" fontId="12" fillId="0" borderId="0" xfId="1" applyNumberFormat="1" applyFont="1" applyAlignment="1">
      <alignment horizontal="center"/>
    </xf>
    <xf numFmtId="165" fontId="12" fillId="0" borderId="0" xfId="1" applyNumberFormat="1" applyFont="1" applyAlignment="1">
      <alignment horizontal="center"/>
    </xf>
    <xf numFmtId="2" fontId="12" fillId="0" borderId="0" xfId="1" applyNumberFormat="1" applyFont="1" applyAlignment="1">
      <alignment horizontal="center"/>
    </xf>
    <xf numFmtId="4" fontId="12" fillId="0" borderId="0" xfId="1" applyNumberFormat="1" applyFont="1"/>
    <xf numFmtId="2" fontId="0" fillId="0" borderId="0" xfId="0" applyNumberFormat="1" applyAlignment="1">
      <alignment horizontal="center"/>
    </xf>
    <xf numFmtId="2" fontId="0" fillId="0" borderId="1" xfId="0" applyNumberFormat="1" applyFill="1" applyBorder="1"/>
    <xf numFmtId="10" fontId="5" fillId="0" borderId="0" xfId="0" applyNumberFormat="1" applyFont="1" applyProtection="1">
      <protection locked="0"/>
    </xf>
    <xf numFmtId="0" fontId="0" fillId="0" borderId="0" xfId="0" applyAlignment="1">
      <alignment horizontal="center"/>
    </xf>
    <xf numFmtId="166" fontId="5" fillId="0" borderId="0" xfId="2" applyNumberFormat="1" applyFont="1" applyProtection="1">
      <protection locked="0"/>
    </xf>
    <xf numFmtId="166" fontId="3" fillId="0" borderId="0" xfId="2" applyNumberFormat="1" applyFont="1" applyProtection="1">
      <protection locked="0"/>
    </xf>
    <xf numFmtId="166" fontId="3" fillId="2" borderId="0" xfId="2" applyNumberFormat="1" applyFont="1" applyFill="1" applyProtection="1"/>
    <xf numFmtId="166" fontId="6" fillId="2" borderId="0" xfId="2" applyNumberFormat="1" applyFont="1" applyFill="1" applyProtection="1"/>
    <xf numFmtId="166" fontId="5" fillId="2" borderId="0" xfId="2" applyNumberFormat="1" applyFont="1" applyFill="1" applyProtection="1"/>
    <xf numFmtId="166" fontId="5" fillId="0" borderId="0" xfId="2" applyNumberFormat="1" applyFont="1" applyFill="1" applyProtection="1"/>
    <xf numFmtId="164" fontId="5" fillId="0" borderId="0" xfId="0" applyNumberFormat="1" applyFont="1" applyAlignment="1" applyProtection="1">
      <alignment horizontal="center"/>
      <protection locked="0"/>
    </xf>
    <xf numFmtId="3" fontId="7" fillId="0" borderId="0" xfId="0" applyNumberFormat="1" applyFont="1" applyAlignment="1" applyProtection="1">
      <alignment horizontal="left" vertical="center"/>
      <protection locked="0"/>
    </xf>
    <xf numFmtId="0" fontId="6" fillId="0" borderId="0" xfId="0" applyFont="1" applyAlignment="1" applyProtection="1">
      <alignment horizontal="center" wrapText="1"/>
      <protection locked="0"/>
    </xf>
    <xf numFmtId="0" fontId="4" fillId="0" borderId="4" xfId="0" applyFont="1" applyBorder="1" applyAlignment="1">
      <alignment horizontal="center" vertical="center" wrapText="1"/>
    </xf>
    <xf numFmtId="0" fontId="11" fillId="4" borderId="0" xfId="0" applyFont="1" applyFill="1" applyAlignment="1">
      <alignment horizontal="center"/>
    </xf>
    <xf numFmtId="0" fontId="11" fillId="4" borderId="5" xfId="0" applyFont="1" applyFill="1" applyBorder="1" applyAlignment="1">
      <alignment horizontal="center"/>
    </xf>
  </cellXfs>
  <cellStyles count="3">
    <cellStyle name="Comma" xfId="2" builtinId="3"/>
    <cellStyle name="Normal" xfId="0" builtinId="0"/>
    <cellStyle name="Normal_District-Budget-2021-2022 draf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48"/>
  <sheetViews>
    <sheetView tabSelected="1" topLeftCell="A2" workbookViewId="0">
      <selection activeCell="E23" sqref="E23"/>
    </sheetView>
  </sheetViews>
  <sheetFormatPr defaultRowHeight="12.75" x14ac:dyDescent="0.2"/>
  <cols>
    <col min="1" max="1" width="49.42578125" style="15" customWidth="1"/>
    <col min="2" max="2" width="18.28515625" style="14" customWidth="1"/>
    <col min="3" max="3" width="18.5703125" style="22" customWidth="1"/>
    <col min="4" max="4" width="15.7109375" style="22" customWidth="1"/>
    <col min="5" max="5" width="55" style="15" customWidth="1"/>
    <col min="6" max="16384" width="9.140625" style="15"/>
  </cols>
  <sheetData>
    <row r="1" spans="1:9" ht="15.75" x14ac:dyDescent="0.25">
      <c r="A1" s="35" t="s">
        <v>79</v>
      </c>
      <c r="B1" s="82" t="s">
        <v>61</v>
      </c>
      <c r="C1" s="82"/>
      <c r="D1" s="58"/>
    </row>
    <row r="2" spans="1:9" s="3" customFormat="1" x14ac:dyDescent="0.2">
      <c r="A2" s="2" t="s">
        <v>80</v>
      </c>
      <c r="B2" s="4"/>
      <c r="C2" s="2"/>
      <c r="D2" s="2"/>
    </row>
    <row r="3" spans="1:9" s="3" customFormat="1" x14ac:dyDescent="0.2">
      <c r="A3" s="54"/>
      <c r="B3" s="55"/>
      <c r="C3" s="56"/>
      <c r="D3" s="56"/>
      <c r="E3" s="54"/>
    </row>
    <row r="4" spans="1:9" s="3" customFormat="1" ht="38.25" x14ac:dyDescent="0.2">
      <c r="A4" s="2"/>
      <c r="B4" s="59" t="s">
        <v>82</v>
      </c>
      <c r="C4" s="60" t="s">
        <v>0</v>
      </c>
      <c r="D4" s="61" t="s">
        <v>81</v>
      </c>
      <c r="E4" s="38" t="s">
        <v>1</v>
      </c>
    </row>
    <row r="5" spans="1:9" s="3" customFormat="1" ht="45" x14ac:dyDescent="0.25">
      <c r="A5" s="5" t="s">
        <v>2</v>
      </c>
      <c r="B5" s="6">
        <v>0</v>
      </c>
      <c r="C5" s="7">
        <f>B5/B45</f>
        <v>0</v>
      </c>
      <c r="D5" s="3">
        <v>0</v>
      </c>
      <c r="E5" s="53" t="s">
        <v>3</v>
      </c>
    </row>
    <row r="6" spans="1:9" s="3" customFormat="1" ht="12" customHeight="1" x14ac:dyDescent="0.2">
      <c r="A6" s="5"/>
      <c r="B6" s="8"/>
      <c r="C6" s="9"/>
      <c r="D6" s="9"/>
    </row>
    <row r="7" spans="1:9" s="12" customFormat="1" ht="16.5" customHeight="1" x14ac:dyDescent="0.2">
      <c r="A7" s="5" t="s">
        <v>4</v>
      </c>
      <c r="B7" s="10"/>
      <c r="C7" s="11"/>
      <c r="D7" s="11"/>
      <c r="E7" s="57" t="s">
        <v>5</v>
      </c>
    </row>
    <row r="8" spans="1:9" s="3" customFormat="1" x14ac:dyDescent="0.2">
      <c r="A8" s="13" t="s">
        <v>6</v>
      </c>
      <c r="B8" s="14">
        <v>52759</v>
      </c>
      <c r="C8" s="16">
        <f>B8/B45</f>
        <v>0.15872571760366555</v>
      </c>
      <c r="D8" s="75">
        <v>52531.57</v>
      </c>
    </row>
    <row r="9" spans="1:9" s="3" customFormat="1" x14ac:dyDescent="0.2">
      <c r="A9" s="13" t="s">
        <v>7</v>
      </c>
      <c r="B9" s="14">
        <v>23492</v>
      </c>
      <c r="C9" s="16">
        <f>B9/B45</f>
        <v>7.0675800487979515E-2</v>
      </c>
      <c r="D9" s="75">
        <v>23724.79</v>
      </c>
    </row>
    <row r="10" spans="1:9" s="3" customFormat="1" x14ac:dyDescent="0.2">
      <c r="A10" s="13" t="s">
        <v>8</v>
      </c>
      <c r="B10" s="14">
        <f>SUM(42084-1260)</f>
        <v>40824</v>
      </c>
      <c r="C10" s="16">
        <f>B10/B45</f>
        <v>0.12281920990640541</v>
      </c>
      <c r="D10" s="75">
        <v>36038.639999999999</v>
      </c>
    </row>
    <row r="11" spans="1:9" s="3" customFormat="1" x14ac:dyDescent="0.2">
      <c r="A11" s="13" t="s">
        <v>9</v>
      </c>
      <c r="B11" s="14">
        <f>SUM(14303-310.8)</f>
        <v>13992.2</v>
      </c>
      <c r="C11" s="16">
        <f>B11/B45</f>
        <v>4.2095604273280567E-2</v>
      </c>
      <c r="D11" s="75">
        <v>11674.06</v>
      </c>
    </row>
    <row r="12" spans="1:9" s="3" customFormat="1" x14ac:dyDescent="0.2">
      <c r="A12" s="5" t="s">
        <v>10</v>
      </c>
      <c r="B12" s="6">
        <f>B8+B9+B10+B11</f>
        <v>131067.2</v>
      </c>
      <c r="C12" s="41">
        <f>B12/B45</f>
        <v>0.39431633227133106</v>
      </c>
      <c r="D12" s="76">
        <f>D8+D9+D10+D11</f>
        <v>123969.06</v>
      </c>
    </row>
    <row r="13" spans="1:9" s="3" customFormat="1" ht="14.45" customHeight="1" x14ac:dyDescent="0.2">
      <c r="A13" s="17"/>
      <c r="B13" s="18"/>
      <c r="C13" s="9"/>
      <c r="D13" s="77"/>
      <c r="E13" s="83" t="s">
        <v>11</v>
      </c>
    </row>
    <row r="14" spans="1:9" s="21" customFormat="1" x14ac:dyDescent="0.2">
      <c r="A14" s="2" t="s">
        <v>12</v>
      </c>
      <c r="B14" s="19"/>
      <c r="C14" s="20"/>
      <c r="D14" s="78"/>
      <c r="E14" s="83"/>
    </row>
    <row r="15" spans="1:9" x14ac:dyDescent="0.2">
      <c r="A15" s="22" t="s">
        <v>13</v>
      </c>
      <c r="B15" s="14">
        <v>200</v>
      </c>
      <c r="C15" s="16">
        <f>B15/B45</f>
        <v>6.0170100875174114E-4</v>
      </c>
      <c r="D15" s="75">
        <v>0</v>
      </c>
      <c r="E15" s="81" t="s">
        <v>90</v>
      </c>
    </row>
    <row r="16" spans="1:9" x14ac:dyDescent="0.2">
      <c r="A16" s="22" t="s">
        <v>14</v>
      </c>
      <c r="B16" s="14">
        <v>3600</v>
      </c>
      <c r="C16" s="16">
        <f>B16/B45</f>
        <v>1.0830618157531341E-2</v>
      </c>
      <c r="D16" s="75">
        <v>3600</v>
      </c>
      <c r="E16" s="81"/>
      <c r="I16" s="3"/>
    </row>
    <row r="17" spans="1:9" x14ac:dyDescent="0.2">
      <c r="A17" s="22" t="s">
        <v>15</v>
      </c>
      <c r="B17" s="14">
        <v>1000</v>
      </c>
      <c r="C17" s="16">
        <f>B17/B45</f>
        <v>3.0085050437587057E-3</v>
      </c>
      <c r="D17" s="75">
        <v>0</v>
      </c>
      <c r="E17" s="81"/>
      <c r="I17" s="3"/>
    </row>
    <row r="18" spans="1:9" x14ac:dyDescent="0.2">
      <c r="A18" s="22" t="s">
        <v>16</v>
      </c>
      <c r="B18" s="14">
        <v>4624</v>
      </c>
      <c r="C18" s="16">
        <f>B18/B45</f>
        <v>1.3911327322340256E-2</v>
      </c>
      <c r="D18" s="75">
        <v>4624</v>
      </c>
      <c r="E18" s="81"/>
      <c r="I18" s="3"/>
    </row>
    <row r="19" spans="1:9" x14ac:dyDescent="0.2">
      <c r="A19" s="22" t="s">
        <v>17</v>
      </c>
      <c r="B19" s="14">
        <f>SUM(11156+7349)</f>
        <v>18505</v>
      </c>
      <c r="C19" s="16">
        <f>B19/B45</f>
        <v>5.5672385834754853E-2</v>
      </c>
      <c r="D19" s="75">
        <v>21592.95</v>
      </c>
      <c r="E19" s="81"/>
      <c r="I19" s="3"/>
    </row>
    <row r="20" spans="1:9" x14ac:dyDescent="0.2">
      <c r="A20" s="22" t="s">
        <v>18</v>
      </c>
      <c r="B20" s="14">
        <v>0</v>
      </c>
      <c r="C20" s="16">
        <f>B20/B45</f>
        <v>0</v>
      </c>
      <c r="D20" s="75">
        <v>0</v>
      </c>
      <c r="E20" s="81"/>
      <c r="I20" s="3"/>
    </row>
    <row r="21" spans="1:9" x14ac:dyDescent="0.2">
      <c r="A21" s="22" t="s">
        <v>19</v>
      </c>
      <c r="B21" s="14">
        <v>0</v>
      </c>
      <c r="C21" s="16">
        <f>B21/B45</f>
        <v>0</v>
      </c>
      <c r="D21" s="75">
        <v>0</v>
      </c>
      <c r="E21" s="81"/>
      <c r="I21" s="3"/>
    </row>
    <row r="22" spans="1:9" x14ac:dyDescent="0.2">
      <c r="A22" s="15" t="s">
        <v>78</v>
      </c>
      <c r="B22" s="14">
        <v>0</v>
      </c>
      <c r="C22" s="16">
        <f>B22/B45</f>
        <v>0</v>
      </c>
      <c r="D22" s="75">
        <v>0</v>
      </c>
      <c r="E22" s="81"/>
      <c r="I22" s="3"/>
    </row>
    <row r="23" spans="1:9" s="3" customFormat="1" x14ac:dyDescent="0.2">
      <c r="A23" s="2" t="s">
        <v>10</v>
      </c>
      <c r="B23" s="6">
        <f>SUM(B15:B22)</f>
        <v>27929</v>
      </c>
      <c r="C23" s="41">
        <f>B23/B45</f>
        <v>8.4024537367136901E-2</v>
      </c>
      <c r="D23" s="76">
        <f>SUM(D15:D22)</f>
        <v>29816.95</v>
      </c>
      <c r="E23" s="24"/>
    </row>
    <row r="24" spans="1:9" x14ac:dyDescent="0.2">
      <c r="A24" s="22"/>
      <c r="B24" s="18"/>
      <c r="C24" s="26"/>
      <c r="D24" s="79"/>
      <c r="E24" s="83" t="s">
        <v>20</v>
      </c>
    </row>
    <row r="25" spans="1:9" x14ac:dyDescent="0.2">
      <c r="A25" s="2" t="s">
        <v>21</v>
      </c>
      <c r="B25" s="18"/>
      <c r="C25" s="26"/>
      <c r="D25" s="79"/>
      <c r="E25" s="83"/>
    </row>
    <row r="26" spans="1:9" x14ac:dyDescent="0.2">
      <c r="A26" s="22" t="s">
        <v>22</v>
      </c>
      <c r="B26" s="27">
        <v>6935</v>
      </c>
      <c r="C26" s="16">
        <f>B26/B45</f>
        <v>2.0863982478466624E-2</v>
      </c>
      <c r="D26" s="80">
        <v>6099.87</v>
      </c>
      <c r="E26" s="81" t="s">
        <v>89</v>
      </c>
    </row>
    <row r="27" spans="1:9" x14ac:dyDescent="0.2">
      <c r="A27" s="22" t="s">
        <v>23</v>
      </c>
      <c r="B27" s="14">
        <v>0</v>
      </c>
      <c r="C27" s="16">
        <f>B27/B45</f>
        <v>0</v>
      </c>
      <c r="D27" s="75">
        <v>0</v>
      </c>
      <c r="E27" s="81"/>
    </row>
    <row r="28" spans="1:9" x14ac:dyDescent="0.2">
      <c r="A28" s="22" t="s">
        <v>24</v>
      </c>
      <c r="B28" s="14">
        <f>SUM(92560+19000)</f>
        <v>111560</v>
      </c>
      <c r="C28" s="16">
        <f>B28/B45</f>
        <v>0.33562882268172123</v>
      </c>
      <c r="D28" s="75">
        <v>102424.83</v>
      </c>
      <c r="E28" s="81"/>
    </row>
    <row r="29" spans="1:9" x14ac:dyDescent="0.2">
      <c r="A29" s="22" t="s">
        <v>25</v>
      </c>
      <c r="B29" s="14">
        <v>0</v>
      </c>
      <c r="C29" s="16">
        <f>B29/B45</f>
        <v>0</v>
      </c>
      <c r="D29" s="75">
        <v>0</v>
      </c>
      <c r="E29" s="81"/>
    </row>
    <row r="30" spans="1:9" x14ac:dyDescent="0.2">
      <c r="A30" s="15" t="s">
        <v>26</v>
      </c>
      <c r="B30" s="14">
        <v>6600</v>
      </c>
      <c r="C30" s="16" t="s">
        <v>52</v>
      </c>
      <c r="D30" s="75">
        <v>11615.5</v>
      </c>
      <c r="E30" s="81"/>
    </row>
    <row r="31" spans="1:9" x14ac:dyDescent="0.2">
      <c r="A31" s="2" t="s">
        <v>10</v>
      </c>
      <c r="B31" s="6">
        <f>SUM(B26:B30)</f>
        <v>125095</v>
      </c>
      <c r="C31" s="41">
        <f>B31/B45</f>
        <v>0.37634893844899531</v>
      </c>
      <c r="D31" s="76">
        <f>SUM(D26:D30)</f>
        <v>120140.2</v>
      </c>
      <c r="E31" s="23"/>
    </row>
    <row r="32" spans="1:9" x14ac:dyDescent="0.2">
      <c r="A32" s="22"/>
      <c r="B32" s="25"/>
      <c r="C32" s="26"/>
      <c r="D32" s="79"/>
      <c r="E32" s="83" t="s">
        <v>20</v>
      </c>
    </row>
    <row r="33" spans="1:6" x14ac:dyDescent="0.2">
      <c r="A33" s="2" t="s">
        <v>27</v>
      </c>
      <c r="B33" s="25"/>
      <c r="C33" s="26"/>
      <c r="D33" s="79"/>
      <c r="E33" s="83"/>
    </row>
    <row r="34" spans="1:6" x14ac:dyDescent="0.2">
      <c r="A34" s="22" t="s">
        <v>28</v>
      </c>
      <c r="B34" s="14">
        <v>22407</v>
      </c>
      <c r="C34" s="16">
        <f>B34/B45</f>
        <v>6.7411572515501325E-2</v>
      </c>
      <c r="D34" s="75">
        <v>21340</v>
      </c>
      <c r="E34" s="81" t="s">
        <v>71</v>
      </c>
    </row>
    <row r="35" spans="1:6" x14ac:dyDescent="0.2">
      <c r="A35" s="22" t="s">
        <v>29</v>
      </c>
      <c r="B35" s="14">
        <v>20107</v>
      </c>
      <c r="C35" s="73">
        <f>B35/B45</f>
        <v>6.0492010914856301E-2</v>
      </c>
      <c r="D35" s="75">
        <v>20010.919999999998</v>
      </c>
      <c r="E35" s="81"/>
    </row>
    <row r="36" spans="1:6" x14ac:dyDescent="0.2">
      <c r="A36" s="22" t="s">
        <v>30</v>
      </c>
      <c r="B36" s="14">
        <v>250</v>
      </c>
      <c r="C36" s="16">
        <f>B36/B45</f>
        <v>7.5212626093967643E-4</v>
      </c>
      <c r="D36" s="75">
        <v>0</v>
      </c>
      <c r="E36" s="81"/>
    </row>
    <row r="37" spans="1:6" x14ac:dyDescent="0.2">
      <c r="A37" s="22" t="s">
        <v>31</v>
      </c>
      <c r="B37" s="27">
        <v>1636</v>
      </c>
      <c r="C37" s="16">
        <f>B37/B45</f>
        <v>4.9219142515892428E-3</v>
      </c>
      <c r="D37" s="80">
        <v>1635.86</v>
      </c>
      <c r="E37" s="81"/>
      <c r="F37" s="16"/>
    </row>
    <row r="38" spans="1:6" x14ac:dyDescent="0.2">
      <c r="A38" s="22" t="s">
        <v>32</v>
      </c>
      <c r="B38" s="14">
        <v>3900</v>
      </c>
      <c r="C38" s="16">
        <f>B38/B45</f>
        <v>1.1733169670658954E-2</v>
      </c>
      <c r="D38" s="75">
        <v>3900</v>
      </c>
      <c r="E38" s="81"/>
    </row>
    <row r="39" spans="1:6" x14ac:dyDescent="0.2">
      <c r="A39" s="22" t="s">
        <v>33</v>
      </c>
      <c r="B39" s="14">
        <v>0</v>
      </c>
      <c r="C39" s="16">
        <f>B39/B45</f>
        <v>0</v>
      </c>
      <c r="D39" s="75">
        <v>0</v>
      </c>
      <c r="E39" s="81"/>
    </row>
    <row r="40" spans="1:6" x14ac:dyDescent="0.2">
      <c r="A40" s="2" t="s">
        <v>10</v>
      </c>
      <c r="B40" s="6">
        <f>SUM(B34:B39)</f>
        <v>48300</v>
      </c>
      <c r="C40" s="41">
        <f>B40/B45</f>
        <v>0.14531079361354549</v>
      </c>
      <c r="D40" s="76">
        <f>SUM(D34:D39)</f>
        <v>46886.78</v>
      </c>
      <c r="E40" s="81"/>
    </row>
    <row r="41" spans="1:6" x14ac:dyDescent="0.2">
      <c r="A41" s="22"/>
      <c r="C41" s="16"/>
      <c r="D41" s="75"/>
      <c r="E41" s="23"/>
    </row>
    <row r="42" spans="1:6" x14ac:dyDescent="0.2">
      <c r="A42" s="2" t="s">
        <v>34</v>
      </c>
      <c r="B42" s="6">
        <f>SUM(B12+B23+B31+B40)</f>
        <v>332391.2</v>
      </c>
      <c r="C42" s="41">
        <f>B42/B45</f>
        <v>1.0000006017010088</v>
      </c>
      <c r="D42" s="76">
        <f>SUM(D12+D23+D31+D40)</f>
        <v>320812.99</v>
      </c>
      <c r="E42" s="23"/>
      <c r="F42" s="14">
        <f>SUM(B45-B42)</f>
        <v>-0.20000000001164153</v>
      </c>
    </row>
    <row r="43" spans="1:6" s="3" customFormat="1" x14ac:dyDescent="0.2">
      <c r="A43" s="22"/>
      <c r="B43" s="18"/>
      <c r="C43" s="26"/>
      <c r="D43" s="26"/>
      <c r="E43" s="24"/>
    </row>
    <row r="44" spans="1:6" x14ac:dyDescent="0.2">
      <c r="B44" s="8"/>
      <c r="C44" s="9"/>
      <c r="D44" s="9"/>
      <c r="E44" s="23"/>
    </row>
    <row r="45" spans="1:6" s="3" customFormat="1" x14ac:dyDescent="0.2">
      <c r="A45" s="3" t="s">
        <v>35</v>
      </c>
      <c r="B45" s="28">
        <v>332391</v>
      </c>
      <c r="C45" s="7"/>
      <c r="D45" s="7"/>
      <c r="E45" s="24"/>
    </row>
    <row r="46" spans="1:6" x14ac:dyDescent="0.2">
      <c r="B46" s="28"/>
      <c r="C46" s="7"/>
      <c r="D46" s="7"/>
    </row>
    <row r="47" spans="1:6" x14ac:dyDescent="0.2">
      <c r="B47" s="1"/>
      <c r="C47" s="1"/>
      <c r="D47" s="1"/>
    </row>
    <row r="48" spans="1:6" s="3" customFormat="1" x14ac:dyDescent="0.2">
      <c r="A48" s="15"/>
      <c r="B48" s="14"/>
      <c r="C48" s="22"/>
      <c r="D48" s="22"/>
    </row>
  </sheetData>
  <mergeCells count="7">
    <mergeCell ref="E34:E40"/>
    <mergeCell ref="B1:C1"/>
    <mergeCell ref="E13:E14"/>
    <mergeCell ref="E24:E25"/>
    <mergeCell ref="E32:E33"/>
    <mergeCell ref="E15:E22"/>
    <mergeCell ref="E26:E30"/>
  </mergeCells>
  <phoneticPr fontId="14" type="noConversion"/>
  <printOptions gridLines="1"/>
  <pageMargins left="0.7" right="0.7" top="0.75" bottom="0.75" header="0.3" footer="0.3"/>
  <pageSetup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57"/>
  <sheetViews>
    <sheetView topLeftCell="A22" workbookViewId="0">
      <selection activeCell="G51" sqref="G51"/>
    </sheetView>
  </sheetViews>
  <sheetFormatPr defaultRowHeight="15" x14ac:dyDescent="0.25"/>
  <cols>
    <col min="1" max="1" width="25.28515625" customWidth="1"/>
    <col min="2" max="2" width="17.42578125" style="29" customWidth="1"/>
    <col min="3" max="3" width="12.85546875" style="29" customWidth="1"/>
    <col min="4" max="5" width="19.140625" style="29" customWidth="1"/>
    <col min="6" max="6" width="23.7109375" style="30" customWidth="1"/>
    <col min="7" max="7" width="41" customWidth="1"/>
    <col min="8" max="8" width="27" customWidth="1"/>
    <col min="9" max="9" width="13.42578125" customWidth="1"/>
    <col min="10" max="10" width="13.140625" customWidth="1"/>
    <col min="11" max="11" width="19.85546875" customWidth="1"/>
    <col min="12" max="12" width="21.28515625" customWidth="1"/>
    <col min="13" max="13" width="24.42578125" customWidth="1"/>
  </cols>
  <sheetData>
    <row r="1" spans="1:13" ht="15.75" x14ac:dyDescent="0.25">
      <c r="A1" s="36" t="s">
        <v>36</v>
      </c>
      <c r="B1" s="47" t="s">
        <v>61</v>
      </c>
      <c r="C1" s="37"/>
      <c r="H1" s="36" t="s">
        <v>36</v>
      </c>
      <c r="I1" s="47" t="s">
        <v>61</v>
      </c>
      <c r="J1" s="37"/>
      <c r="K1" s="29"/>
      <c r="L1" s="29"/>
      <c r="M1" s="30"/>
    </row>
    <row r="2" spans="1:13" ht="15.75" x14ac:dyDescent="0.25">
      <c r="A2" s="31" t="s">
        <v>83</v>
      </c>
      <c r="D2" s="32"/>
      <c r="E2" s="32"/>
      <c r="H2" s="31" t="s">
        <v>84</v>
      </c>
      <c r="I2" s="29"/>
      <c r="J2" s="29"/>
      <c r="K2" s="32"/>
      <c r="L2" s="32"/>
      <c r="M2" s="30"/>
    </row>
    <row r="3" spans="1:13" s="31" customFormat="1" ht="15.75" x14ac:dyDescent="0.25">
      <c r="A3" s="48" t="s">
        <v>37</v>
      </c>
      <c r="B3" s="32"/>
      <c r="C3" s="32"/>
      <c r="D3" s="32"/>
      <c r="E3" s="32"/>
      <c r="F3" s="33"/>
      <c r="H3" s="48" t="s">
        <v>37</v>
      </c>
      <c r="I3" s="32"/>
      <c r="J3" s="32"/>
      <c r="K3" s="32"/>
      <c r="L3" s="32"/>
      <c r="M3" s="33"/>
    </row>
    <row r="4" spans="1:13" s="31" customFormat="1" ht="15.75" x14ac:dyDescent="0.25">
      <c r="A4" s="34" t="s">
        <v>38</v>
      </c>
      <c r="B4" s="32"/>
      <c r="C4" s="32"/>
      <c r="D4" s="32"/>
      <c r="E4" s="32"/>
      <c r="F4" s="33"/>
      <c r="H4" s="34" t="s">
        <v>38</v>
      </c>
      <c r="I4" s="32"/>
      <c r="J4" s="32"/>
      <c r="K4" s="32"/>
      <c r="L4" s="32"/>
      <c r="M4" s="33"/>
    </row>
    <row r="5" spans="1:13" ht="15.75" thickBot="1" x14ac:dyDescent="0.3">
      <c r="I5" s="29"/>
      <c r="J5" s="29"/>
      <c r="K5" s="29"/>
      <c r="L5" s="29"/>
      <c r="M5" s="30"/>
    </row>
    <row r="6" spans="1:13" s="42" customFormat="1" ht="40.5" customHeight="1" x14ac:dyDescent="0.25">
      <c r="A6" s="42" t="s">
        <v>39</v>
      </c>
      <c r="B6" s="43" t="s">
        <v>40</v>
      </c>
      <c r="C6" s="43" t="s">
        <v>41</v>
      </c>
      <c r="D6" s="43" t="s">
        <v>42</v>
      </c>
      <c r="E6" s="49" t="s">
        <v>43</v>
      </c>
      <c r="F6" s="44" t="s">
        <v>44</v>
      </c>
      <c r="G6" s="84" t="s">
        <v>49</v>
      </c>
      <c r="H6" s="42" t="s">
        <v>39</v>
      </c>
      <c r="I6" s="43" t="s">
        <v>40</v>
      </c>
      <c r="J6" s="43" t="s">
        <v>41</v>
      </c>
      <c r="K6" s="43" t="s">
        <v>42</v>
      </c>
      <c r="L6" s="49" t="s">
        <v>43</v>
      </c>
      <c r="M6" s="44" t="s">
        <v>44</v>
      </c>
    </row>
    <row r="7" spans="1:13" s="42" customFormat="1" ht="15" customHeight="1" x14ac:dyDescent="0.25">
      <c r="A7" s="50" t="s">
        <v>45</v>
      </c>
      <c r="B7" s="51">
        <v>24000</v>
      </c>
      <c r="C7" s="51">
        <f>SUM(B7*0.32)</f>
        <v>7680</v>
      </c>
      <c r="D7" s="51">
        <f>SUM(B7:C7)</f>
        <v>31680</v>
      </c>
      <c r="E7" s="51">
        <v>85000</v>
      </c>
      <c r="F7" s="52">
        <f>SUM((D7*100)/E7)</f>
        <v>37.27058823529412</v>
      </c>
      <c r="G7" s="84"/>
      <c r="H7" s="50" t="s">
        <v>45</v>
      </c>
      <c r="I7" s="51">
        <v>24000</v>
      </c>
      <c r="J7" s="51">
        <f>SUM(I7*0.32)</f>
        <v>7680</v>
      </c>
      <c r="K7" s="51">
        <f>SUM(I7:J7)</f>
        <v>31680</v>
      </c>
      <c r="L7" s="51">
        <v>85000</v>
      </c>
      <c r="M7" s="52">
        <f>SUM((K7*100)/L7)</f>
        <v>37.27058823529412</v>
      </c>
    </row>
    <row r="8" spans="1:13" s="42" customFormat="1" ht="15" customHeight="1" x14ac:dyDescent="0.25">
      <c r="A8" s="85" t="s">
        <v>46</v>
      </c>
      <c r="B8" s="85"/>
      <c r="C8" s="85"/>
      <c r="D8" s="85"/>
      <c r="E8" s="85"/>
      <c r="F8" s="86"/>
      <c r="G8" s="84"/>
      <c r="H8" s="85" t="s">
        <v>46</v>
      </c>
      <c r="I8" s="85"/>
      <c r="J8" s="85"/>
      <c r="K8" s="85"/>
      <c r="L8" s="85"/>
      <c r="M8" s="86"/>
    </row>
    <row r="9" spans="1:13" x14ac:dyDescent="0.25">
      <c r="A9" t="s">
        <v>47</v>
      </c>
      <c r="B9" s="29">
        <f>SUM((B29*4/12)+(B38*2/12))*(35/35)</f>
        <v>25593.840000000004</v>
      </c>
      <c r="C9" s="29">
        <f>SUM((C29+D29+E29)*(4/12))+((C38+D38+E38)*(2/12))*(35/35)</f>
        <v>11406.48156</v>
      </c>
      <c r="D9" s="29">
        <f t="shared" ref="D9:D14" si="0">SUM(B9:C9)</f>
        <v>37000.321560000004</v>
      </c>
      <c r="E9" s="29">
        <f t="shared" ref="E9:E14" si="1">SUM(F29*(4/12)+(F38*2/12))</f>
        <v>37000.321560000004</v>
      </c>
      <c r="F9" s="72">
        <f t="shared" ref="F9:F14" si="2">SUM((D9*100)/E9)</f>
        <v>100</v>
      </c>
      <c r="G9" s="84"/>
      <c r="H9" t="s">
        <v>47</v>
      </c>
      <c r="I9" s="29">
        <f>SUM(B47*(6/12))*(35/35)</f>
        <v>25593.84</v>
      </c>
      <c r="J9" s="29">
        <f>SUM((C47+D47+E47)*(6/12))*(35/35)</f>
        <v>11406.48156</v>
      </c>
      <c r="K9" s="29">
        <f t="shared" ref="K9:K14" si="3">SUM(I9:J9)</f>
        <v>37000.321559999997</v>
      </c>
      <c r="L9" s="29">
        <f t="shared" ref="L9:L14" si="4">SUM(F38*(6/12))</f>
        <v>37000.321560000004</v>
      </c>
      <c r="M9" s="72">
        <f t="shared" ref="M9:M14" si="5">SUM((K9*100)/L9)</f>
        <v>99.999999999999972</v>
      </c>
    </row>
    <row r="10" spans="1:13" x14ac:dyDescent="0.25">
      <c r="A10" t="s">
        <v>62</v>
      </c>
      <c r="B10" s="29">
        <f>SUM((B30*(4/12))+(B39*(2/12)))*(5.1/35)</f>
        <v>3185.5190142857141</v>
      </c>
      <c r="C10" s="29">
        <f>SUM(((C30+D30+E30)*(4/12))+((C39+D39+E39)*(2/12)))*(5.1/35)</f>
        <v>1528.0235798785711</v>
      </c>
      <c r="D10" s="29">
        <f t="shared" si="0"/>
        <v>4713.5425941642852</v>
      </c>
      <c r="E10" s="29">
        <f t="shared" si="1"/>
        <v>32347.841332499996</v>
      </c>
      <c r="F10" s="72">
        <f t="shared" si="2"/>
        <v>14.571428571428571</v>
      </c>
      <c r="H10" t="s">
        <v>62</v>
      </c>
      <c r="I10" s="29">
        <f>SUM(B48*(6/12))*(5.1/35)</f>
        <v>3185.5190142857141</v>
      </c>
      <c r="J10" s="29">
        <f>SUM((C48+D48+E48)*(6/12))*(5.1/35)</f>
        <v>1528.0235798785714</v>
      </c>
      <c r="K10" s="29">
        <f t="shared" si="3"/>
        <v>4713.5425941642852</v>
      </c>
      <c r="L10" s="29">
        <f t="shared" si="4"/>
        <v>32347.841332499996</v>
      </c>
      <c r="M10" s="72">
        <f t="shared" si="5"/>
        <v>14.571428571428571</v>
      </c>
    </row>
    <row r="11" spans="1:13" x14ac:dyDescent="0.25">
      <c r="A11" t="s">
        <v>63</v>
      </c>
      <c r="B11" s="29">
        <f>SUM((B31*(4/12))+(B40*(2/12)))*(8.3875/35)</f>
        <v>4986.488571428571</v>
      </c>
      <c r="C11" s="29">
        <f>SUM(((C31+D31+E31)*(4/12))+((C40+D40+E40)*(2/12)))*(8.3875/35)</f>
        <v>2450.7728614285716</v>
      </c>
      <c r="D11" s="29">
        <f t="shared" si="0"/>
        <v>7437.2614328571426</v>
      </c>
      <c r="E11" s="29">
        <f t="shared" si="1"/>
        <v>31034.771999999997</v>
      </c>
      <c r="F11" s="72">
        <f t="shared" si="2"/>
        <v>23.964285714285715</v>
      </c>
      <c r="H11" t="s">
        <v>63</v>
      </c>
      <c r="I11" s="29">
        <f>SUM(B49*(6/12))*(8.3875/35)</f>
        <v>4986.488571428571</v>
      </c>
      <c r="J11" s="29">
        <f>SUM((C49+D49+E49)*(6/12))*(8.3875/35)</f>
        <v>2450.7728614285716</v>
      </c>
      <c r="K11" s="29">
        <f>SUM(I11:J11)</f>
        <v>7437.2614328571426</v>
      </c>
      <c r="L11" s="29">
        <f t="shared" si="4"/>
        <v>31034.771999999997</v>
      </c>
      <c r="M11" s="72">
        <f t="shared" si="5"/>
        <v>23.964285714285715</v>
      </c>
    </row>
    <row r="12" spans="1:13" x14ac:dyDescent="0.25">
      <c r="A12" t="s">
        <v>74</v>
      </c>
      <c r="B12" s="29">
        <f>SUM((B32*(4/12))+(B41*(2/12)))*(1/35)</f>
        <v>785.71428571428567</v>
      </c>
      <c r="C12" s="29">
        <f>SUM(((C32+D32+E32)*(4/12))+((C41+D41+E41)*(2/12)))*(1/35)</f>
        <v>339.32428571428574</v>
      </c>
      <c r="D12" s="29">
        <f t="shared" si="0"/>
        <v>1125.0385714285715</v>
      </c>
      <c r="E12" s="29">
        <f t="shared" si="1"/>
        <v>39376.35</v>
      </c>
      <c r="F12" s="72">
        <f t="shared" si="2"/>
        <v>2.8571428571428572</v>
      </c>
      <c r="H12" t="s">
        <v>74</v>
      </c>
      <c r="I12" s="29">
        <f>SUM(B50*(6/12))*(1/35)</f>
        <v>785.71428571428567</v>
      </c>
      <c r="J12" s="29">
        <f>SUM((C50+D50+E50)*(6/12))*(1/35)</f>
        <v>339.32428571428574</v>
      </c>
      <c r="K12" s="29">
        <f t="shared" si="3"/>
        <v>1125.0385714285715</v>
      </c>
      <c r="L12" s="29">
        <f t="shared" si="4"/>
        <v>39376.35</v>
      </c>
      <c r="M12" s="72">
        <f t="shared" si="5"/>
        <v>2.8571428571428572</v>
      </c>
    </row>
    <row r="13" spans="1:13" x14ac:dyDescent="0.25">
      <c r="A13" t="s">
        <v>53</v>
      </c>
      <c r="B13" s="29">
        <f>SUM((B33*(4/12))+(B42*(2/12)))*(16.5/16.5)</f>
        <v>6435</v>
      </c>
      <c r="C13" s="29">
        <f>SUM(((C33+D33+E33)*(4/12))+((C42+D42+E42)*(2/12)))*(16.5/16.5)</f>
        <v>1586.2275</v>
      </c>
      <c r="D13" s="29">
        <f>SUM(B13:C13)</f>
        <v>8021.2275</v>
      </c>
      <c r="E13" s="29">
        <f t="shared" si="1"/>
        <v>8021.2274999999991</v>
      </c>
      <c r="F13" s="72">
        <f t="shared" si="2"/>
        <v>100.00000000000001</v>
      </c>
      <c r="H13" t="s">
        <v>53</v>
      </c>
      <c r="I13" s="29">
        <f>SUM(B51*(6/12))*(16.5/16.5)</f>
        <v>6435</v>
      </c>
      <c r="J13" s="29">
        <f>SUM((C51+D51+E51)*(6/12))*(16.5/16.5)</f>
        <v>1586.2275</v>
      </c>
      <c r="K13" s="29">
        <f t="shared" si="3"/>
        <v>8021.2275</v>
      </c>
      <c r="L13" s="29">
        <f>SUM(F42*(6/12))</f>
        <v>8021.2275</v>
      </c>
      <c r="M13" s="72">
        <f>SUM((K13*100)/L13)</f>
        <v>100</v>
      </c>
    </row>
    <row r="14" spans="1:13" x14ac:dyDescent="0.25">
      <c r="A14" t="s">
        <v>54</v>
      </c>
      <c r="B14" s="29">
        <f>SUM((B34*(4/12))+(B43*(2/12)))*(16.5/16.5)</f>
        <v>6435</v>
      </c>
      <c r="C14" s="29">
        <f>SUM(((C34+D34+E34)*(4/12))+((C43+D43+E43)*(2/12)))*(16.5/16.5)</f>
        <v>1586.2275</v>
      </c>
      <c r="D14" s="29">
        <f t="shared" si="0"/>
        <v>8021.2275</v>
      </c>
      <c r="E14" s="29">
        <f t="shared" si="1"/>
        <v>8021.2274999999991</v>
      </c>
      <c r="F14" s="72">
        <f t="shared" si="2"/>
        <v>100.00000000000001</v>
      </c>
      <c r="H14" t="s">
        <v>54</v>
      </c>
      <c r="I14" s="29">
        <f>SUM(B52*(6/12))*(16.5/16.5)</f>
        <v>6435</v>
      </c>
      <c r="J14" s="29">
        <f>SUM((C52+D52+E52)*(6/12))*(16.5/16.5)</f>
        <v>1586.2275</v>
      </c>
      <c r="K14" s="29">
        <f t="shared" si="3"/>
        <v>8021.2275</v>
      </c>
      <c r="L14" s="29">
        <f t="shared" si="4"/>
        <v>8021.2275</v>
      </c>
      <c r="M14" s="72">
        <f t="shared" si="5"/>
        <v>100</v>
      </c>
    </row>
    <row r="15" spans="1:13" x14ac:dyDescent="0.25">
      <c r="F15" s="39"/>
      <c r="I15" s="29"/>
      <c r="J15" s="29"/>
      <c r="K15" s="29"/>
      <c r="L15" s="29"/>
      <c r="M15" s="39"/>
    </row>
    <row r="16" spans="1:13" ht="15.75" thickBot="1" x14ac:dyDescent="0.3">
      <c r="A16" s="45" t="s">
        <v>48</v>
      </c>
      <c r="B16" s="46">
        <f>SUM(B9:B14)</f>
        <v>47421.561871428574</v>
      </c>
      <c r="C16" s="46">
        <f>SUM(C9:C14)</f>
        <v>18897.057287021427</v>
      </c>
      <c r="D16" s="46">
        <f>SUM(D9:D14)</f>
        <v>66318.619158450005</v>
      </c>
      <c r="E16" s="46"/>
      <c r="F16" s="40"/>
      <c r="H16" s="45" t="s">
        <v>48</v>
      </c>
      <c r="I16" s="46">
        <f>SUM(I9:I14)</f>
        <v>47421.561871428567</v>
      </c>
      <c r="J16" s="46">
        <f>SUM(J9:J14)</f>
        <v>18897.057287021427</v>
      </c>
      <c r="K16" s="46">
        <f>SUM(K9:K14)</f>
        <v>66318.61915844999</v>
      </c>
      <c r="L16" s="46"/>
      <c r="M16" s="40"/>
    </row>
    <row r="17" spans="1:9" x14ac:dyDescent="0.25">
      <c r="F17"/>
    </row>
    <row r="27" spans="1:9" x14ac:dyDescent="0.25">
      <c r="A27" s="65" t="s">
        <v>86</v>
      </c>
      <c r="B27" s="67" t="s">
        <v>55</v>
      </c>
      <c r="C27" s="68" t="s">
        <v>50</v>
      </c>
      <c r="D27" s="68" t="s">
        <v>56</v>
      </c>
      <c r="E27" s="69" t="s">
        <v>51</v>
      </c>
      <c r="F27" s="71" t="s">
        <v>48</v>
      </c>
      <c r="G27" s="74" t="s">
        <v>72</v>
      </c>
      <c r="H27" t="s">
        <v>64</v>
      </c>
      <c r="I27" s="29">
        <f>SUM(B9+B12+I9+I12)</f>
        <v>52759.108571428573</v>
      </c>
    </row>
    <row r="28" spans="1:9" x14ac:dyDescent="0.25">
      <c r="A28" s="65"/>
      <c r="B28" s="67"/>
      <c r="C28" s="68"/>
      <c r="D28" s="68"/>
      <c r="E28" s="69"/>
      <c r="H28" t="s">
        <v>65</v>
      </c>
      <c r="I28" s="29">
        <f>SUM(C9+C12+J9+J12)</f>
        <v>23491.61169142857</v>
      </c>
    </row>
    <row r="29" spans="1:9" x14ac:dyDescent="0.25">
      <c r="A29" s="65" t="s">
        <v>57</v>
      </c>
      <c r="B29" s="66">
        <v>51187.68</v>
      </c>
      <c r="C29" s="66">
        <f>SUM((875.6-26)*12)</f>
        <v>10195.200000000001</v>
      </c>
      <c r="D29" s="66">
        <f t="shared" ref="D29:D34" si="6">SUM((B29*0.062)+(B29*0.0145))</f>
        <v>3915.85752</v>
      </c>
      <c r="E29" s="66">
        <f t="shared" ref="E29:E34" si="7">SUM((B29*0.34)/2)</f>
        <v>8701.9056</v>
      </c>
      <c r="F29" s="30">
        <f>SUM(B29:E29)</f>
        <v>74000.643120000008</v>
      </c>
      <c r="H29" t="s">
        <v>66</v>
      </c>
      <c r="I29" s="29">
        <f>SUM(B10+B11+B13+B14+I10+I11+I13+I14)</f>
        <v>42084.015171428575</v>
      </c>
    </row>
    <row r="30" spans="1:9" x14ac:dyDescent="0.25">
      <c r="A30" s="65" t="s">
        <v>58</v>
      </c>
      <c r="B30" s="66">
        <v>43722.81</v>
      </c>
      <c r="C30" s="66">
        <f t="shared" ref="C30:C32" si="8">SUM((875.6-26)*12)</f>
        <v>10195.200000000001</v>
      </c>
      <c r="D30" s="66">
        <f t="shared" si="6"/>
        <v>3344.7949649999996</v>
      </c>
      <c r="E30" s="66">
        <f t="shared" si="7"/>
        <v>7432.8777</v>
      </c>
      <c r="F30" s="30">
        <f t="shared" ref="F30:F51" si="9">SUM(B30:E30)</f>
        <v>64695.682664999993</v>
      </c>
      <c r="H30" t="s">
        <v>73</v>
      </c>
      <c r="I30" s="29">
        <f>SUM(C10+C11+C13+C14+J10+J11+J13+J14)</f>
        <v>14302.502882614288</v>
      </c>
    </row>
    <row r="31" spans="1:9" x14ac:dyDescent="0.25">
      <c r="A31" s="65" t="s">
        <v>59</v>
      </c>
      <c r="B31" s="66">
        <v>41616</v>
      </c>
      <c r="C31" s="66">
        <f t="shared" si="8"/>
        <v>10195.200000000001</v>
      </c>
      <c r="D31" s="66">
        <f t="shared" si="6"/>
        <v>3183.6239999999998</v>
      </c>
      <c r="E31" s="66">
        <f t="shared" si="7"/>
        <v>7074.72</v>
      </c>
      <c r="F31" s="30">
        <f t="shared" si="9"/>
        <v>62069.543999999994</v>
      </c>
    </row>
    <row r="32" spans="1:9" x14ac:dyDescent="0.25">
      <c r="A32" s="65" t="s">
        <v>75</v>
      </c>
      <c r="B32" s="66">
        <v>55000</v>
      </c>
      <c r="C32" s="66">
        <f t="shared" si="8"/>
        <v>10195.200000000001</v>
      </c>
      <c r="D32" s="66">
        <f t="shared" si="6"/>
        <v>4207.5</v>
      </c>
      <c r="E32" s="66">
        <f t="shared" si="7"/>
        <v>9350</v>
      </c>
      <c r="F32" s="30">
        <f t="shared" si="9"/>
        <v>78752.7</v>
      </c>
      <c r="I32" s="29">
        <f>SUM(I27:I30)</f>
        <v>132637.23831690001</v>
      </c>
    </row>
    <row r="33" spans="1:7" x14ac:dyDescent="0.25">
      <c r="A33" s="65" t="s">
        <v>77</v>
      </c>
      <c r="B33" s="66">
        <v>12870</v>
      </c>
      <c r="C33" s="66">
        <v>0</v>
      </c>
      <c r="D33" s="66">
        <f t="shared" si="6"/>
        <v>984.55499999999995</v>
      </c>
      <c r="E33" s="66">
        <f t="shared" si="7"/>
        <v>2187.9</v>
      </c>
      <c r="F33" s="30">
        <f t="shared" si="9"/>
        <v>16042.455</v>
      </c>
      <c r="G33" s="30">
        <f>SUM(F33/858)</f>
        <v>18.697500000000002</v>
      </c>
    </row>
    <row r="34" spans="1:7" x14ac:dyDescent="0.25">
      <c r="A34" s="65" t="s">
        <v>76</v>
      </c>
      <c r="B34" s="66">
        <v>12870</v>
      </c>
      <c r="C34" s="66">
        <v>0</v>
      </c>
      <c r="D34" s="66">
        <f t="shared" si="6"/>
        <v>984.55499999999995</v>
      </c>
      <c r="E34" s="66">
        <f t="shared" si="7"/>
        <v>2187.9</v>
      </c>
      <c r="F34" s="30">
        <f t="shared" si="9"/>
        <v>16042.455</v>
      </c>
    </row>
    <row r="35" spans="1:7" x14ac:dyDescent="0.25">
      <c r="A35" s="65" t="s">
        <v>52</v>
      </c>
      <c r="B35" s="70" t="s">
        <v>52</v>
      </c>
      <c r="C35" s="62"/>
      <c r="D35" s="62"/>
      <c r="E35" s="63"/>
      <c r="F35" s="30" t="s">
        <v>52</v>
      </c>
    </row>
    <row r="36" spans="1:7" x14ac:dyDescent="0.25">
      <c r="A36" s="65" t="s">
        <v>87</v>
      </c>
      <c r="B36" s="67" t="s">
        <v>55</v>
      </c>
      <c r="C36" s="68" t="s">
        <v>50</v>
      </c>
      <c r="D36" s="68" t="s">
        <v>56</v>
      </c>
      <c r="E36" s="69" t="s">
        <v>51</v>
      </c>
      <c r="F36" s="30" t="s">
        <v>52</v>
      </c>
    </row>
    <row r="37" spans="1:7" x14ac:dyDescent="0.25">
      <c r="A37" s="65" t="s">
        <v>52</v>
      </c>
      <c r="B37" s="70" t="s">
        <v>52</v>
      </c>
      <c r="C37" s="62"/>
      <c r="D37" s="62"/>
      <c r="E37" s="63"/>
      <c r="F37" s="30" t="s">
        <v>52</v>
      </c>
    </row>
    <row r="38" spans="1:7" x14ac:dyDescent="0.25">
      <c r="A38" s="65" t="s">
        <v>57</v>
      </c>
      <c r="B38" s="66">
        <v>51187.68</v>
      </c>
      <c r="C38" s="66">
        <f t="shared" ref="C38:C41" si="10">SUM((875.6-26)*12)</f>
        <v>10195.200000000001</v>
      </c>
      <c r="D38" s="66">
        <f t="shared" ref="D38:D43" si="11">SUM((B38*0.062)+(B38*0.0145))</f>
        <v>3915.85752</v>
      </c>
      <c r="E38" s="66">
        <f t="shared" ref="E38:E43" si="12">SUM((B38*0.34)/2)</f>
        <v>8701.9056</v>
      </c>
      <c r="F38" s="30">
        <f t="shared" si="9"/>
        <v>74000.643120000008</v>
      </c>
    </row>
    <row r="39" spans="1:7" x14ac:dyDescent="0.25">
      <c r="A39" s="65" t="s">
        <v>58</v>
      </c>
      <c r="B39" s="66">
        <v>43722.81</v>
      </c>
      <c r="C39" s="66">
        <f t="shared" si="10"/>
        <v>10195.200000000001</v>
      </c>
      <c r="D39" s="66">
        <f t="shared" si="11"/>
        <v>3344.7949649999996</v>
      </c>
      <c r="E39" s="66">
        <f t="shared" si="12"/>
        <v>7432.8777</v>
      </c>
      <c r="F39" s="30">
        <f t="shared" si="9"/>
        <v>64695.682664999993</v>
      </c>
    </row>
    <row r="40" spans="1:7" x14ac:dyDescent="0.25">
      <c r="A40" s="65" t="s">
        <v>59</v>
      </c>
      <c r="B40" s="66">
        <v>41616</v>
      </c>
      <c r="C40" s="66">
        <f t="shared" si="10"/>
        <v>10195.200000000001</v>
      </c>
      <c r="D40" s="66">
        <f t="shared" si="11"/>
        <v>3183.6239999999998</v>
      </c>
      <c r="E40" s="66">
        <f t="shared" si="12"/>
        <v>7074.72</v>
      </c>
      <c r="F40" s="30">
        <f t="shared" si="9"/>
        <v>62069.543999999994</v>
      </c>
    </row>
    <row r="41" spans="1:7" x14ac:dyDescent="0.25">
      <c r="A41" s="65" t="s">
        <v>75</v>
      </c>
      <c r="B41" s="66">
        <v>55000</v>
      </c>
      <c r="C41" s="66">
        <f t="shared" si="10"/>
        <v>10195.200000000001</v>
      </c>
      <c r="D41" s="66">
        <f t="shared" si="11"/>
        <v>4207.5</v>
      </c>
      <c r="E41" s="66">
        <f t="shared" si="12"/>
        <v>9350</v>
      </c>
      <c r="F41" s="30">
        <f t="shared" si="9"/>
        <v>78752.7</v>
      </c>
    </row>
    <row r="42" spans="1:7" x14ac:dyDescent="0.25">
      <c r="A42" s="65" t="s">
        <v>77</v>
      </c>
      <c r="B42" s="66">
        <v>12870</v>
      </c>
      <c r="C42" s="66">
        <v>0</v>
      </c>
      <c r="D42" s="66">
        <f t="shared" si="11"/>
        <v>984.55499999999995</v>
      </c>
      <c r="E42" s="66">
        <f t="shared" si="12"/>
        <v>2187.9</v>
      </c>
      <c r="F42" s="30">
        <f>SUM(B42:E42)</f>
        <v>16042.455</v>
      </c>
      <c r="G42" s="30">
        <f>SUM(F42/858)</f>
        <v>18.697500000000002</v>
      </c>
    </row>
    <row r="43" spans="1:7" x14ac:dyDescent="0.25">
      <c r="A43" s="65" t="s">
        <v>76</v>
      </c>
      <c r="B43" s="66">
        <v>12870</v>
      </c>
      <c r="C43" s="66">
        <v>0</v>
      </c>
      <c r="D43" s="66">
        <f t="shared" si="11"/>
        <v>984.55499999999995</v>
      </c>
      <c r="E43" s="66">
        <f t="shared" si="12"/>
        <v>2187.9</v>
      </c>
      <c r="F43" s="30">
        <f t="shared" si="9"/>
        <v>16042.455</v>
      </c>
    </row>
    <row r="44" spans="1:7" x14ac:dyDescent="0.25">
      <c r="A44" s="64"/>
      <c r="B44" s="62"/>
      <c r="C44" s="62"/>
      <c r="D44" s="62"/>
      <c r="E44" s="63"/>
      <c r="F44" s="30" t="s">
        <v>52</v>
      </c>
    </row>
    <row r="45" spans="1:7" x14ac:dyDescent="0.25">
      <c r="A45" s="64" t="s">
        <v>88</v>
      </c>
      <c r="B45" s="67" t="s">
        <v>55</v>
      </c>
      <c r="C45" s="68" t="s">
        <v>50</v>
      </c>
      <c r="D45" s="68" t="s">
        <v>56</v>
      </c>
      <c r="E45" s="69" t="s">
        <v>51</v>
      </c>
      <c r="F45" s="30" t="s">
        <v>52</v>
      </c>
    </row>
    <row r="46" spans="1:7" x14ac:dyDescent="0.25">
      <c r="A46" s="64"/>
      <c r="B46" s="62"/>
      <c r="C46" s="62"/>
      <c r="D46" s="62"/>
      <c r="E46" s="63"/>
      <c r="F46" s="30" t="s">
        <v>52</v>
      </c>
    </row>
    <row r="47" spans="1:7" x14ac:dyDescent="0.25">
      <c r="A47" s="65" t="s">
        <v>57</v>
      </c>
      <c r="B47" s="66">
        <v>51187.68</v>
      </c>
      <c r="C47" s="66">
        <f t="shared" ref="C47:C50" si="13">SUM((875.6-26)*12)</f>
        <v>10195.200000000001</v>
      </c>
      <c r="D47" s="66">
        <f t="shared" ref="D47:D52" si="14">SUM((B47*0.062)+(B47*0.0145))</f>
        <v>3915.85752</v>
      </c>
      <c r="E47" s="66">
        <f t="shared" ref="E47:E52" si="15">SUM((B47*0.34)/2)</f>
        <v>8701.9056</v>
      </c>
      <c r="F47" s="30">
        <f t="shared" si="9"/>
        <v>74000.643120000008</v>
      </c>
    </row>
    <row r="48" spans="1:7" x14ac:dyDescent="0.25">
      <c r="A48" s="65" t="s">
        <v>58</v>
      </c>
      <c r="B48" s="66">
        <v>43722.81</v>
      </c>
      <c r="C48" s="66">
        <f t="shared" si="13"/>
        <v>10195.200000000001</v>
      </c>
      <c r="D48" s="66">
        <f t="shared" si="14"/>
        <v>3344.7949649999996</v>
      </c>
      <c r="E48" s="66">
        <f t="shared" si="15"/>
        <v>7432.8777</v>
      </c>
      <c r="F48" s="30">
        <f t="shared" si="9"/>
        <v>64695.682664999993</v>
      </c>
    </row>
    <row r="49" spans="1:7" x14ac:dyDescent="0.25">
      <c r="A49" s="65" t="s">
        <v>59</v>
      </c>
      <c r="B49" s="66">
        <v>41616</v>
      </c>
      <c r="C49" s="66">
        <f t="shared" si="13"/>
        <v>10195.200000000001</v>
      </c>
      <c r="D49" s="66">
        <f t="shared" si="14"/>
        <v>3183.6239999999998</v>
      </c>
      <c r="E49" s="66">
        <f t="shared" si="15"/>
        <v>7074.72</v>
      </c>
      <c r="F49" s="30">
        <f t="shared" si="9"/>
        <v>62069.543999999994</v>
      </c>
    </row>
    <row r="50" spans="1:7" x14ac:dyDescent="0.25">
      <c r="A50" s="65" t="s">
        <v>75</v>
      </c>
      <c r="B50" s="66">
        <v>55000</v>
      </c>
      <c r="C50" s="66">
        <f t="shared" si="13"/>
        <v>10195.200000000001</v>
      </c>
      <c r="D50" s="66">
        <f t="shared" si="14"/>
        <v>4207.5</v>
      </c>
      <c r="E50" s="66">
        <f t="shared" si="15"/>
        <v>9350</v>
      </c>
      <c r="F50" s="30">
        <f t="shared" si="9"/>
        <v>78752.7</v>
      </c>
    </row>
    <row r="51" spans="1:7" x14ac:dyDescent="0.25">
      <c r="A51" s="65" t="s">
        <v>60</v>
      </c>
      <c r="B51" s="66">
        <v>12870</v>
      </c>
      <c r="C51" s="66">
        <v>0</v>
      </c>
      <c r="D51" s="66">
        <f t="shared" si="14"/>
        <v>984.55499999999995</v>
      </c>
      <c r="E51" s="66">
        <f t="shared" si="15"/>
        <v>2187.9</v>
      </c>
      <c r="F51" s="30">
        <f t="shared" si="9"/>
        <v>16042.455</v>
      </c>
      <c r="G51" s="30">
        <f>SUM(F51/858)</f>
        <v>18.697500000000002</v>
      </c>
    </row>
    <row r="52" spans="1:7" x14ac:dyDescent="0.25">
      <c r="A52" s="65" t="s">
        <v>85</v>
      </c>
      <c r="B52" s="66">
        <v>12870</v>
      </c>
      <c r="C52" s="66">
        <v>0</v>
      </c>
      <c r="D52" s="66">
        <f t="shared" si="14"/>
        <v>984.55499999999995</v>
      </c>
      <c r="E52" s="66">
        <f t="shared" si="15"/>
        <v>2187.9</v>
      </c>
      <c r="F52" s="30">
        <f>SUM(B52:E52)</f>
        <v>16042.455</v>
      </c>
    </row>
    <row r="54" spans="1:7" x14ac:dyDescent="0.25">
      <c r="A54" s="65" t="s">
        <v>67</v>
      </c>
    </row>
    <row r="55" spans="1:7" x14ac:dyDescent="0.25">
      <c r="A55" s="65" t="s">
        <v>69</v>
      </c>
    </row>
    <row r="56" spans="1:7" x14ac:dyDescent="0.25">
      <c r="A56" s="65" t="s">
        <v>70</v>
      </c>
    </row>
    <row r="57" spans="1:7" x14ac:dyDescent="0.25">
      <c r="A57" s="65" t="s">
        <v>68</v>
      </c>
    </row>
  </sheetData>
  <mergeCells count="3">
    <mergeCell ref="G6:G9"/>
    <mergeCell ref="A8:F8"/>
    <mergeCell ref="H8:M8"/>
  </mergeCells>
  <phoneticPr fontId="14" type="noConversion"/>
  <printOptions gridLines="1"/>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8A676AD79BBA46A3A117E94922354A" ma:contentTypeVersion="10" ma:contentTypeDescription="Create a new document." ma:contentTypeScope="" ma:versionID="de979c44919f56eecc2f5982842beeee">
  <xsd:schema xmlns:xsd="http://www.w3.org/2001/XMLSchema" xmlns:xs="http://www.w3.org/2001/XMLSchema" xmlns:p="http://schemas.microsoft.com/office/2006/metadata/properties" xmlns:ns2="1b12af08-8654-48ab-ae97-9357fc15abfc" xmlns:ns3="c27e785c-8e16-412b-8b1a-e9c87279f193" targetNamespace="http://schemas.microsoft.com/office/2006/metadata/properties" ma:root="true" ma:fieldsID="9400172c19bd19e4b96c142e57f160f6" ns2:_="" ns3:_="">
    <xsd:import namespace="1b12af08-8654-48ab-ae97-9357fc15abfc"/>
    <xsd:import namespace="c27e785c-8e16-412b-8b1a-e9c87279f19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2af08-8654-48ab-ae97-9357fc15ab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27e785c-8e16-412b-8b1a-e9c87279f19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C584B8-3BEA-4EA3-91A0-C8F259D09915}">
  <ds:schemaRefs>
    <ds:schemaRef ds:uri="1b12af08-8654-48ab-ae97-9357fc15abfc"/>
    <ds:schemaRef ds:uri="http://schemas.microsoft.com/office/2006/documentManagement/types"/>
    <ds:schemaRef ds:uri="c27e785c-8e16-412b-8b1a-e9c87279f193"/>
    <ds:schemaRef ds:uri="http://www.w3.org/XML/1998/namespace"/>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 ds:uri="http://purl.org/dc/elements/1.1/"/>
  </ds:schemaRefs>
</ds:datastoreItem>
</file>

<file path=customXml/itemProps2.xml><?xml version="1.0" encoding="utf-8"?>
<ds:datastoreItem xmlns:ds="http://schemas.openxmlformats.org/officeDocument/2006/customXml" ds:itemID="{79181E78-48CD-4413-9D1D-D7F666DE6E19}">
  <ds:schemaRefs>
    <ds:schemaRef ds:uri="http://schemas.microsoft.com/sharepoint/v3/contenttype/forms"/>
  </ds:schemaRefs>
</ds:datastoreItem>
</file>

<file path=customXml/itemProps3.xml><?xml version="1.0" encoding="utf-8"?>
<ds:datastoreItem xmlns:ds="http://schemas.openxmlformats.org/officeDocument/2006/customXml" ds:itemID="{DB1BC06A-BBFD-485E-B0B3-75994688D7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2af08-8654-48ab-ae97-9357fc15abfc"/>
    <ds:schemaRef ds:uri="c27e785c-8e16-412b-8b1a-e9c87279f1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District Development &amp; Resource</vt:lpstr>
      <vt:lpstr>District Staff</vt:lpstr>
      <vt:lpstr>'District Development &amp; Resource'!Print_Area</vt:lpstr>
      <vt:lpstr>'District Staff'!Print_Area</vt:lpstr>
    </vt:vector>
  </TitlesOfParts>
  <Manager/>
  <Company>PA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Kruger, Anne</dc:creator>
  <cp:keywords/>
  <dc:description/>
  <cp:lastModifiedBy>Mark Sullivan</cp:lastModifiedBy>
  <cp:revision/>
  <cp:lastPrinted>2022-05-12T17:39:58Z</cp:lastPrinted>
  <dcterms:created xsi:type="dcterms:W3CDTF">2016-01-05T17:23:29Z</dcterms:created>
  <dcterms:modified xsi:type="dcterms:W3CDTF">2023-05-10T18:59:04Z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0x0101003A8A676AD79BBA46A3A117E94922354A</vt:lpwstr>
  </property>
</Properties>
</file>